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пущения" sheetId="1" state="visible" r:id="rId1"/>
    <sheet xmlns:r="http://schemas.openxmlformats.org/officeDocument/2006/relationships" name="P&amp;L" sheetId="2" state="visible" r:id="rId2"/>
    <sheet xmlns:r="http://schemas.openxmlformats.org/officeDocument/2006/relationships" name="ДДС" sheetId="3" state="visible" r:id="rId3"/>
    <sheet xmlns:r="http://schemas.openxmlformats.org/officeDocument/2006/relationships" name="Баланс" sheetId="4" state="visible" r:id="rId4"/>
    <sheet xmlns:r="http://schemas.openxmlformats.org/officeDocument/2006/relationships" name="KPI" sheetId="5" state="visible" r:id="rId5"/>
    <sheet xmlns:r="http://schemas.openxmlformats.org/officeDocument/2006/relationships" name="Сценарии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₽&quot;"/>
    <numFmt numFmtId="165" formatCode="0.0&quot;%&quot;"/>
    <numFmt numFmtId="166" formatCode="#,##0&quot; ₽&quot;;[Red]-#,##0&quot; ₽&quot;"/>
    <numFmt numFmtId="167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0A2540"/>
      <sz val="16"/>
    </font>
    <font>
      <name val="Calibri"/>
      <i val="1"/>
      <color rgb="0064748B"/>
      <sz val="11"/>
    </font>
    <font>
      <name val="Calibri"/>
      <b val="1"/>
      <color rgb="00FFD93D"/>
      <sz val="12"/>
    </font>
    <font>
      <name val="Calibri"/>
      <b val="1"/>
      <color rgb="00FFFFFF"/>
      <sz val="11"/>
    </font>
    <font>
      <name val="Calibri"/>
      <i val="1"/>
      <color rgb="007c2d12"/>
      <sz val="10"/>
    </font>
    <font>
      <name val="Calibri"/>
      <b val="1"/>
      <color rgb="000A2540"/>
      <sz val="14"/>
    </font>
    <font>
      <name val="Calibri"/>
      <i val="1"/>
      <color rgb="0064748B"/>
      <sz val="10"/>
    </font>
    <font>
      <name val="Calibri"/>
      <sz val="11"/>
    </font>
    <font>
      <name val="Calibri"/>
      <b val="1"/>
      <sz val="11"/>
    </font>
    <font>
      <name val="Calibri"/>
      <b val="1"/>
      <color rgb="000A2540"/>
      <sz val="12"/>
    </font>
    <font>
      <name val="Calibri"/>
      <i val="1"/>
      <sz val="10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BEB"/>
      </patternFill>
    </fill>
    <fill>
      <patternFill patternType="solid">
        <fgColor rgb="001557FF"/>
      </patternFill>
    </fill>
    <fill>
      <patternFill patternType="solid">
        <fgColor rgb="00EFF6FF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0" fontId="4" fillId="4" borderId="0" pivotButton="0" quotePrefix="0" xfId="0"/>
    <xf numFmtId="164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8" fillId="5" borderId="1" pivotButton="0" quotePrefix="0" xfId="0"/>
    <xf numFmtId="166" fontId="0" fillId="5" borderId="1" applyAlignment="1" pivotButton="0" quotePrefix="0" xfId="0">
      <alignment horizontal="right" vertical="center"/>
    </xf>
    <xf numFmtId="0" fontId="9" fillId="5" borderId="1" pivotButton="0" quotePrefix="0" xfId="0"/>
    <xf numFmtId="0" fontId="9" fillId="6" borderId="1" pivotButton="0" quotePrefix="0" xfId="0"/>
    <xf numFmtId="166" fontId="0" fillId="6" borderId="1" applyAlignment="1" pivotButton="0" quotePrefix="0" xfId="0">
      <alignment horizontal="right" vertical="center"/>
    </xf>
    <xf numFmtId="0" fontId="8" fillId="7" borderId="1" pivotButton="0" quotePrefix="0" xfId="0"/>
    <xf numFmtId="166" fontId="0" fillId="7" borderId="1" applyAlignment="1" pivotButton="0" quotePrefix="0" xfId="0">
      <alignment horizontal="right" vertical="center"/>
    </xf>
    <xf numFmtId="0" fontId="8" fillId="0" borderId="1" pivotButton="0" quotePrefix="0" xfId="0"/>
    <xf numFmtId="164" fontId="0" fillId="0" borderId="1" applyAlignment="1" pivotButton="0" quotePrefix="0" xfId="0">
      <alignment horizontal="right" vertical="center"/>
    </xf>
    <xf numFmtId="0" fontId="9" fillId="0" borderId="1" pivotButton="0" quotePrefix="0" xfId="0"/>
    <xf numFmtId="164" fontId="0" fillId="6" borderId="1" applyAlignment="1" pivotButton="0" quotePrefix="0" xfId="0">
      <alignment horizontal="right" vertical="center"/>
    </xf>
    <xf numFmtId="0" fontId="0" fillId="0" borderId="1" pivotButton="0" quotePrefix="0" xfId="0"/>
    <xf numFmtId="2" fontId="0" fillId="0" borderId="1" pivotButton="0" quotePrefix="0" xfId="0"/>
    <xf numFmtId="165" fontId="0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6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4" customWidth="1" min="3" max="3"/>
  </cols>
  <sheetData>
    <row r="1">
      <c r="A1" s="1" t="inlineStr">
        <is>
          <t>Триллион Кредит · Финансовая модель для банка</t>
        </is>
      </c>
    </row>
    <row r="2">
      <c r="A2" s="2" t="inlineStr">
        <is>
          <t>Шаблон 2026 года · Автоматический расчёт P&amp;L, ДДС, баланса и DSCR</t>
        </is>
      </c>
    </row>
    <row r="4">
      <c r="A4" s="3" t="inlineStr">
        <is>
          <t>📋 1. ОБЩИЕ ДАННЫЕ ПРОЕКТА</t>
        </is>
      </c>
    </row>
    <row r="5">
      <c r="A5" s="4" t="inlineStr">
        <is>
          <t>Наименование компании</t>
        </is>
      </c>
      <c r="B5" s="5" t="inlineStr">
        <is>
          <t>ООО "Ваша компания"</t>
        </is>
      </c>
    </row>
    <row r="6">
      <c r="A6" s="4" t="inlineStr">
        <is>
          <t>ИНН</t>
        </is>
      </c>
      <c r="B6" s="5" t="inlineStr">
        <is>
          <t>1234567890</t>
        </is>
      </c>
    </row>
    <row r="7">
      <c r="A7" s="4" t="inlineStr">
        <is>
          <t>Отрасль</t>
        </is>
      </c>
      <c r="B7" s="5" t="inlineStr">
        <is>
          <t>Производство / Услуги / Торговля</t>
        </is>
      </c>
    </row>
    <row r="8">
      <c r="A8" s="4" t="inlineStr">
        <is>
          <t>Срок планирования (лет)</t>
        </is>
      </c>
      <c r="B8" s="6" t="n">
        <v>5</v>
      </c>
    </row>
    <row r="9">
      <c r="A9" s="4" t="inlineStr">
        <is>
          <t>Месяц начала проекта</t>
        </is>
      </c>
      <c r="B9" s="5" t="inlineStr">
        <is>
          <t>Январь 2026</t>
        </is>
      </c>
    </row>
    <row r="11">
      <c r="A11" s="7" t="inlineStr">
        <is>
          <t>📋 2. ВЫРУЧКА</t>
        </is>
      </c>
    </row>
    <row r="12">
      <c r="A12" s="4" t="inlineStr">
        <is>
          <t>Стартовая месячная выручка (₽)</t>
        </is>
      </c>
      <c r="B12" s="8" t="n">
        <v>1500000</v>
      </c>
    </row>
    <row r="13">
      <c r="A13" s="4" t="inlineStr">
        <is>
          <t>Темп роста выручки в год (%)</t>
        </is>
      </c>
      <c r="B13" s="9" t="n">
        <v>15</v>
      </c>
    </row>
    <row r="14">
      <c r="A14" s="4" t="inlineStr">
        <is>
          <t>Сезонность (макс месяц % к среднему)</t>
        </is>
      </c>
      <c r="B14" s="9" t="n">
        <v>130</v>
      </c>
    </row>
    <row r="16">
      <c r="A16" s="7" t="inlineStr">
        <is>
          <t>📋 3. РАСХОДЫ</t>
        </is>
      </c>
    </row>
    <row r="17">
      <c r="A17" s="4" t="inlineStr">
        <is>
          <t>Переменные расходы (% от выручки)</t>
        </is>
      </c>
      <c r="B17" s="9" t="n">
        <v>45</v>
      </c>
    </row>
    <row r="18">
      <c r="A18" s="4" t="inlineStr">
        <is>
          <t>Постоянные расходы — ФОТ (₽/мес)</t>
        </is>
      </c>
      <c r="B18" s="8" t="n">
        <v>350000</v>
      </c>
    </row>
    <row r="19">
      <c r="A19" s="4" t="inlineStr">
        <is>
          <t>Постоянные расходы — Аренда (₽/мес)</t>
        </is>
      </c>
      <c r="B19" s="8" t="n">
        <v>120000</v>
      </c>
    </row>
    <row r="20">
      <c r="A20" s="4" t="inlineStr">
        <is>
          <t>Постоянные расходы — Прочее (₽/мес)</t>
        </is>
      </c>
      <c r="B20" s="8" t="n">
        <v>80000</v>
      </c>
    </row>
    <row r="21">
      <c r="A21" s="4" t="inlineStr">
        <is>
          <t>Инфляция расходов в год (%)</t>
        </is>
      </c>
      <c r="B21" s="9" t="n">
        <v>7</v>
      </c>
    </row>
    <row r="23">
      <c r="A23" s="7" t="inlineStr">
        <is>
          <t>📋 4. КАПИТАЛЬНЫЕ ВЛОЖЕНИЯ</t>
        </is>
      </c>
    </row>
    <row r="24">
      <c r="A24" s="4" t="inlineStr">
        <is>
          <t>Сумма инвестиций (₽)</t>
        </is>
      </c>
      <c r="B24" s="8" t="n">
        <v>5000000</v>
      </c>
    </row>
    <row r="25">
      <c r="A25" s="4" t="inlineStr">
        <is>
          <t>Срок амортизации (лет)</t>
        </is>
      </c>
      <c r="B25" s="6" t="n">
        <v>5</v>
      </c>
    </row>
    <row r="27">
      <c r="A27" s="7" t="inlineStr">
        <is>
          <t>📋 5. ФИНАНСИРОВАНИЕ</t>
        </is>
      </c>
    </row>
    <row r="28">
      <c r="A28" s="4" t="inlineStr">
        <is>
          <t>Сумма кредита (₽)</t>
        </is>
      </c>
      <c r="B28" s="8" t="n">
        <v>5000000</v>
      </c>
    </row>
    <row r="29">
      <c r="A29" s="4" t="inlineStr">
        <is>
          <t>Ставка по кредиту (% годовых)</t>
        </is>
      </c>
      <c r="B29" s="9" t="n">
        <v>16</v>
      </c>
    </row>
    <row r="30">
      <c r="A30" s="4" t="inlineStr">
        <is>
          <t>Срок кредита (мес)</t>
        </is>
      </c>
      <c r="B30" s="6" t="n">
        <v>60</v>
      </c>
    </row>
    <row r="31">
      <c r="A31" s="4" t="inlineStr">
        <is>
          <t>Тип погашения</t>
        </is>
      </c>
      <c r="B31" s="5" t="inlineStr">
        <is>
          <t>Аннуитет</t>
        </is>
      </c>
    </row>
    <row r="33">
      <c r="A33" s="7" t="inlineStr">
        <is>
          <t>📋 6. НАЛОГИ</t>
        </is>
      </c>
    </row>
    <row r="34">
      <c r="A34" s="4" t="inlineStr">
        <is>
          <t>Налоговый режим</t>
        </is>
      </c>
      <c r="B34" s="5" t="inlineStr">
        <is>
          <t>УСН-Доходы (6%)</t>
        </is>
      </c>
    </row>
    <row r="35">
      <c r="A35" s="4" t="inlineStr">
        <is>
          <t>Ставка налога с прибыли (%)</t>
        </is>
      </c>
      <c r="B35" s="9" t="n">
        <v>6</v>
      </c>
    </row>
    <row r="37">
      <c r="A37" s="10" t="inlineStr">
        <is>
          <t>💡 Изменяйте значения в жёлтых ячейках — модель автоматически пересчитает все показатели.</t>
        </is>
      </c>
    </row>
  </sheetData>
  <mergeCells count="9">
    <mergeCell ref="A33:C33"/>
    <mergeCell ref="A11:C11"/>
    <mergeCell ref="A1:C1"/>
    <mergeCell ref="A16:C16"/>
    <mergeCell ref="A23:C23"/>
    <mergeCell ref="A37:C37"/>
    <mergeCell ref="A27:C27"/>
    <mergeCell ref="A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1" t="inlineStr">
        <is>
          <t>📊 Отчёт о прибылях и убытках (P&amp;L)</t>
        </is>
      </c>
    </row>
    <row r="2">
      <c r="A2" s="12" t="inlineStr">
        <is>
          <t>Все суммы в рублях. Помесячно первый год, по годам далее.</t>
        </is>
      </c>
    </row>
    <row r="4">
      <c r="A4" s="3" t="inlineStr">
        <is>
          <t>Показатель</t>
        </is>
      </c>
      <c r="B4" s="13" t="inlineStr">
        <is>
          <t>Год 1</t>
        </is>
      </c>
      <c r="C4" s="13" t="inlineStr">
        <is>
          <t>Год 2</t>
        </is>
      </c>
      <c r="D4" s="13" t="inlineStr">
        <is>
          <t>Год 3</t>
        </is>
      </c>
      <c r="E4" s="13" t="inlineStr">
        <is>
          <t>Год 4</t>
        </is>
      </c>
      <c r="F4" s="13" t="inlineStr">
        <is>
          <t>Год 5</t>
        </is>
      </c>
    </row>
    <row r="5">
      <c r="A5" s="14" t="inlineStr">
        <is>
          <t>Выручка</t>
        </is>
      </c>
      <c r="B5" s="15">
        <f>Допущения!B12*12*(1+Допущения!B13/100)^0</f>
        <v/>
      </c>
      <c r="C5" s="15">
        <f>Допущения!B12*12*(1+Допущения!B13/100)^1</f>
        <v/>
      </c>
      <c r="D5" s="15">
        <f>Допущения!B12*12*(1+Допущения!B13/100)^2</f>
        <v/>
      </c>
      <c r="E5" s="15">
        <f>Допущения!B12*12*(1+Допущения!B13/100)^3</f>
        <v/>
      </c>
      <c r="F5" s="15">
        <f>Допущения!B12*12*(1+Допущения!B13/100)^4</f>
        <v/>
      </c>
    </row>
    <row r="6">
      <c r="A6" s="14" t="inlineStr">
        <is>
          <t>Переменные расходы</t>
        </is>
      </c>
      <c r="B6" s="15">
        <f>-B5*Допущения!B17/100</f>
        <v/>
      </c>
      <c r="C6" s="15">
        <f>-C5*Допущения!B17/100</f>
        <v/>
      </c>
      <c r="D6" s="15">
        <f>-D5*Допущения!B17/100</f>
        <v/>
      </c>
      <c r="E6" s="15">
        <f>-E5*Допущения!B17/100</f>
        <v/>
      </c>
      <c r="F6" s="15">
        <f>-F5*Допущения!B17/100</f>
        <v/>
      </c>
    </row>
    <row r="7">
      <c r="A7" s="14" t="inlineStr">
        <is>
          <t>Маржинальная прибыль</t>
        </is>
      </c>
      <c r="B7" s="15">
        <f>B5+B6</f>
        <v/>
      </c>
      <c r="C7" s="15">
        <f>C5+C6</f>
        <v/>
      </c>
      <c r="D7" s="15">
        <f>D5+D6</f>
        <v/>
      </c>
      <c r="E7" s="15">
        <f>E5+E6</f>
        <v/>
      </c>
      <c r="F7" s="15">
        <f>F5+F6</f>
        <v/>
      </c>
    </row>
    <row r="8">
      <c r="A8" s="14" t="inlineStr">
        <is>
          <t>ФОТ</t>
        </is>
      </c>
      <c r="B8" s="15">
        <f>-Допущения!B18*12*(1+Допущения!B21/100)^0</f>
        <v/>
      </c>
      <c r="C8" s="15">
        <f>-Допущения!B18*12*(1+Допущения!B21/100)^1</f>
        <v/>
      </c>
      <c r="D8" s="15">
        <f>-Допущения!B18*12*(1+Допущения!B21/100)^2</f>
        <v/>
      </c>
      <c r="E8" s="15">
        <f>-Допущения!B18*12*(1+Допущения!B21/100)^3</f>
        <v/>
      </c>
      <c r="F8" s="15">
        <f>-Допущения!B18*12*(1+Допущения!B21/100)^4</f>
        <v/>
      </c>
    </row>
    <row r="9">
      <c r="A9" s="14" t="inlineStr">
        <is>
          <t>Аренда</t>
        </is>
      </c>
      <c r="B9" s="15">
        <f>-Допущения!B19*12*(1+Допущения!B21/100)^0</f>
        <v/>
      </c>
      <c r="C9" s="15">
        <f>-Допущения!B19*12*(1+Допущения!B21/100)^1</f>
        <v/>
      </c>
      <c r="D9" s="15">
        <f>-Допущения!B19*12*(1+Допущения!B21/100)^2</f>
        <v/>
      </c>
      <c r="E9" s="15">
        <f>-Допущения!B19*12*(1+Допущения!B21/100)^3</f>
        <v/>
      </c>
      <c r="F9" s="15">
        <f>-Допущения!B19*12*(1+Допущения!B21/100)^4</f>
        <v/>
      </c>
    </row>
    <row r="10">
      <c r="A10" s="14" t="inlineStr">
        <is>
          <t>Прочие постоянные</t>
        </is>
      </c>
      <c r="B10" s="15">
        <f>-Допущения!B20*12*(1+Допущения!B21/100)^0</f>
        <v/>
      </c>
      <c r="C10" s="15">
        <f>-Допущения!B20*12*(1+Допущения!B21/100)^1</f>
        <v/>
      </c>
      <c r="D10" s="15">
        <f>-Допущения!B20*12*(1+Допущения!B21/100)^2</f>
        <v/>
      </c>
      <c r="E10" s="15">
        <f>-Допущения!B20*12*(1+Допущения!B21/100)^3</f>
        <v/>
      </c>
      <c r="F10" s="15">
        <f>-Допущения!B20*12*(1+Допущения!B21/100)^4</f>
        <v/>
      </c>
    </row>
    <row r="11">
      <c r="A11" s="16" t="inlineStr">
        <is>
          <t>Итого постоянные расходы</t>
        </is>
      </c>
      <c r="B11" s="15">
        <f>B8+B9+B10</f>
        <v/>
      </c>
      <c r="C11" s="15">
        <f>C8+C9+C10</f>
        <v/>
      </c>
      <c r="D11" s="15">
        <f>D8+D9+D10</f>
        <v/>
      </c>
      <c r="E11" s="15">
        <f>E8+E9+E10</f>
        <v/>
      </c>
      <c r="F11" s="15">
        <f>F8+F9+F10</f>
        <v/>
      </c>
    </row>
    <row r="12">
      <c r="A12" s="17" t="inlineStr">
        <is>
          <t>EBITDA</t>
        </is>
      </c>
      <c r="B12" s="18">
        <f>B7+B11</f>
        <v/>
      </c>
      <c r="C12" s="18">
        <f>C7+C11</f>
        <v/>
      </c>
      <c r="D12" s="18">
        <f>D7+D11</f>
        <v/>
      </c>
      <c r="E12" s="18">
        <f>E7+E11</f>
        <v/>
      </c>
      <c r="F12" s="18">
        <f>F7+F11</f>
        <v/>
      </c>
    </row>
    <row r="13">
      <c r="A13" s="14" t="inlineStr">
        <is>
          <t>Амортизация</t>
        </is>
      </c>
      <c r="B13" s="15">
        <f>-Допущения!B24/Допущения!B25</f>
        <v/>
      </c>
      <c r="C13" s="15">
        <f>-Допущения!B24/Допущения!B25</f>
        <v/>
      </c>
      <c r="D13" s="15">
        <f>-Допущения!B24/Допущения!B25</f>
        <v/>
      </c>
      <c r="E13" s="15">
        <f>-Допущения!B24/Допущения!B25</f>
        <v/>
      </c>
      <c r="F13" s="15">
        <f>-Допущения!B24/Допущения!B25</f>
        <v/>
      </c>
    </row>
    <row r="14">
      <c r="A14" s="14" t="inlineStr">
        <is>
          <t>EBIT</t>
        </is>
      </c>
      <c r="B14" s="15">
        <f>B12+B13</f>
        <v/>
      </c>
      <c r="C14" s="15">
        <f>C12+C13</f>
        <v/>
      </c>
      <c r="D14" s="15">
        <f>D12+D13</f>
        <v/>
      </c>
      <c r="E14" s="15">
        <f>E12+E13</f>
        <v/>
      </c>
      <c r="F14" s="15">
        <f>F12+F13</f>
        <v/>
      </c>
    </row>
    <row r="15">
      <c r="A15" s="14" t="inlineStr">
        <is>
          <t>Проценты по кредиту</t>
        </is>
      </c>
      <c r="B15" s="15">
        <f>-Допущения!B28*Допущения!B29/100*MAX(0,1-0/5)</f>
        <v/>
      </c>
      <c r="C15" s="15">
        <f>-Допущения!B28*Допущения!B29/100*MAX(0,1-1/5)</f>
        <v/>
      </c>
      <c r="D15" s="15">
        <f>-Допущения!B28*Допущения!B29/100*MAX(0,1-2/5)</f>
        <v/>
      </c>
      <c r="E15" s="15">
        <f>-Допущения!B28*Допущения!B29/100*MAX(0,1-3/5)</f>
        <v/>
      </c>
      <c r="F15" s="15">
        <f>-Допущения!B28*Допущения!B29/100*MAX(0,1-4/5)</f>
        <v/>
      </c>
    </row>
    <row r="16">
      <c r="A16" s="14" t="inlineStr">
        <is>
          <t>Прибыль до налогов</t>
        </is>
      </c>
      <c r="B16" s="15">
        <f>B14+B15</f>
        <v/>
      </c>
      <c r="C16" s="15">
        <f>C14+C15</f>
        <v/>
      </c>
      <c r="D16" s="15">
        <f>D14+D15</f>
        <v/>
      </c>
      <c r="E16" s="15">
        <f>E14+E15</f>
        <v/>
      </c>
      <c r="F16" s="15">
        <f>F14+F15</f>
        <v/>
      </c>
    </row>
    <row r="17">
      <c r="A17" s="14" t="inlineStr">
        <is>
          <t>Налог на прибыль</t>
        </is>
      </c>
      <c r="B17" s="15">
        <f>-MAX(0,B16)*Допущения!B35/100</f>
        <v/>
      </c>
      <c r="C17" s="15">
        <f>-MAX(0,C16)*Допущения!B35/100</f>
        <v/>
      </c>
      <c r="D17" s="15">
        <f>-MAX(0,D16)*Допущения!B35/100</f>
        <v/>
      </c>
      <c r="E17" s="15">
        <f>-MAX(0,E16)*Допущения!B35/100</f>
        <v/>
      </c>
      <c r="F17" s="15">
        <f>-MAX(0,F16)*Допущения!B35/100</f>
        <v/>
      </c>
    </row>
    <row r="18">
      <c r="A18" s="17" t="inlineStr">
        <is>
          <t>Чистая прибыль</t>
        </is>
      </c>
      <c r="B18" s="18">
        <f>B16+B17</f>
        <v/>
      </c>
      <c r="C18" s="18">
        <f>C16+C17</f>
        <v/>
      </c>
      <c r="D18" s="18">
        <f>D16+D17</f>
        <v/>
      </c>
      <c r="E18" s="18">
        <f>E16+E17</f>
        <v/>
      </c>
      <c r="F18" s="18">
        <f>F16+F17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1" t="inlineStr">
        <is>
          <t>💸 Движение денежных средств (Cash Flow)</t>
        </is>
      </c>
    </row>
    <row r="4">
      <c r="A4" s="3" t="inlineStr">
        <is>
          <t>Раздел / Год</t>
        </is>
      </c>
      <c r="B4" s="13" t="inlineStr">
        <is>
          <t>Год 1</t>
        </is>
      </c>
      <c r="C4" s="13" t="inlineStr">
        <is>
          <t>Год 2</t>
        </is>
      </c>
      <c r="D4" s="13" t="inlineStr">
        <is>
          <t>Год 3</t>
        </is>
      </c>
      <c r="E4" s="13" t="inlineStr">
        <is>
          <t>Год 4</t>
        </is>
      </c>
      <c r="F4" s="13" t="inlineStr">
        <is>
          <t>Год 5</t>
        </is>
      </c>
    </row>
    <row r="5">
      <c r="A5" s="7" t="inlineStr">
        <is>
          <t>💰 ОПЕРАЦИОННАЯ ДЕЯТЕЛЬНОСТЬ</t>
        </is>
      </c>
    </row>
    <row r="6">
      <c r="A6" s="14" t="inlineStr">
        <is>
          <t>Чистая прибыль</t>
        </is>
      </c>
      <c r="B6" s="15">
        <f>'P&amp;L'!B18</f>
        <v/>
      </c>
      <c r="C6" s="15">
        <f>'P&amp;L'!C18</f>
        <v/>
      </c>
      <c r="D6" s="15">
        <f>'P&amp;L'!D18</f>
        <v/>
      </c>
      <c r="E6" s="15">
        <f>'P&amp;L'!E18</f>
        <v/>
      </c>
      <c r="F6" s="15">
        <f>'P&amp;L'!F18</f>
        <v/>
      </c>
    </row>
    <row r="7">
      <c r="A7" s="14" t="inlineStr">
        <is>
          <t>+ Амортизация</t>
        </is>
      </c>
      <c r="B7" s="15">
        <f>-'P&amp;L'!B13</f>
        <v/>
      </c>
      <c r="C7" s="15">
        <f>-'P&amp;L'!C13</f>
        <v/>
      </c>
      <c r="D7" s="15">
        <f>-'P&amp;L'!D13</f>
        <v/>
      </c>
      <c r="E7" s="15">
        <f>-'P&amp;L'!E13</f>
        <v/>
      </c>
      <c r="F7" s="15">
        <f>-'P&amp;L'!F13</f>
        <v/>
      </c>
    </row>
    <row r="8">
      <c r="A8" s="17" t="inlineStr">
        <is>
          <t>Операционный денежный поток</t>
        </is>
      </c>
      <c r="B8" s="18">
        <f>B6+B7</f>
        <v/>
      </c>
      <c r="C8" s="18">
        <f>C6+C7</f>
        <v/>
      </c>
      <c r="D8" s="18">
        <f>D6+D7</f>
        <v/>
      </c>
      <c r="E8" s="18">
        <f>E6+E7</f>
        <v/>
      </c>
      <c r="F8" s="18">
        <f>F6+F7</f>
        <v/>
      </c>
    </row>
    <row r="9">
      <c r="A9" t="inlineStr"/>
    </row>
    <row r="10">
      <c r="A10" s="7" t="inlineStr">
        <is>
          <t>🏗 ИНВЕСТИЦИОННАЯ ДЕЯТЕЛЬНОСТЬ</t>
        </is>
      </c>
    </row>
    <row r="11">
      <c r="A11" s="19" t="inlineStr">
        <is>
          <t>Капитальные вложения</t>
        </is>
      </c>
      <c r="B11" s="20">
        <f>-Допущения!B24</f>
        <v/>
      </c>
      <c r="C11" s="20">
        <f>0</f>
        <v/>
      </c>
      <c r="D11" s="20">
        <f>0</f>
        <v/>
      </c>
      <c r="E11" s="20">
        <f>0</f>
        <v/>
      </c>
      <c r="F11" s="20">
        <f>0</f>
        <v/>
      </c>
    </row>
    <row r="12">
      <c r="A12" t="inlineStr"/>
    </row>
    <row r="13">
      <c r="A13" s="7" t="inlineStr">
        <is>
          <t>🏦 ФИНАНСОВАЯ ДЕЯТЕЛЬНОСТЬ</t>
        </is>
      </c>
    </row>
    <row r="14">
      <c r="A14" s="14" t="inlineStr">
        <is>
          <t>Получение кредита</t>
        </is>
      </c>
      <c r="B14" s="15">
        <f>Допущения!B28</f>
        <v/>
      </c>
      <c r="C14" s="15">
        <f>0</f>
        <v/>
      </c>
      <c r="D14" s="15">
        <f>0</f>
        <v/>
      </c>
      <c r="E14" s="15">
        <f>0</f>
        <v/>
      </c>
      <c r="F14" s="15">
        <f>0</f>
        <v/>
      </c>
    </row>
    <row r="15">
      <c r="A15" s="19" t="inlineStr">
        <is>
          <t>Погашение тела кредита</t>
        </is>
      </c>
      <c r="B15" s="20">
        <f>-Допущения!B28/Допущения!B30*12</f>
        <v/>
      </c>
      <c r="C15" s="20">
        <f>-Допущения!B28/Допущения!B30*12</f>
        <v/>
      </c>
      <c r="D15" s="20">
        <f>-Допущения!B28/Допущения!B30*12</f>
        <v/>
      </c>
      <c r="E15" s="20">
        <f>-Допущения!B28/Допущения!B30*12</f>
        <v/>
      </c>
      <c r="F15" s="20">
        <f>-Допущения!B28/Допущения!B30*12</f>
        <v/>
      </c>
    </row>
    <row r="16">
      <c r="A16" t="inlineStr"/>
    </row>
    <row r="17">
      <c r="A17" s="17" t="inlineStr">
        <is>
          <t>📊 ИТОГО ЧИСТЫЙ ДЕНЕЖНЫЙ ПОТОК</t>
        </is>
      </c>
      <c r="B17" s="18">
        <f>B8+B11+B14+B15</f>
        <v/>
      </c>
      <c r="C17" s="18">
        <f>C8+C11+C14+C15</f>
        <v/>
      </c>
      <c r="D17" s="18">
        <f>D8+D11+D14+D15</f>
        <v/>
      </c>
      <c r="E17" s="18">
        <f>E8+E11+E14+E15</f>
        <v/>
      </c>
      <c r="F17" s="18">
        <f>F8+F11+F14+F15</f>
        <v/>
      </c>
    </row>
    <row r="18">
      <c r="A18" s="17" t="inlineStr">
        <is>
          <t>Накопленный остаток</t>
        </is>
      </c>
      <c r="B18" s="18">
        <f>B17</f>
        <v/>
      </c>
      <c r="C18" s="18">
        <f>B18+C17</f>
        <v/>
      </c>
      <c r="D18" s="18">
        <f>C18+D17</f>
        <v/>
      </c>
      <c r="E18" s="18">
        <f>D18+E17</f>
        <v/>
      </c>
      <c r="F18" s="18">
        <f>E18+F17</f>
        <v/>
      </c>
    </row>
  </sheetData>
  <mergeCells count="4">
    <mergeCell ref="A10:G10"/>
    <mergeCell ref="A13:G13"/>
    <mergeCell ref="A1:G1"/>
    <mergeCell ref="A5:G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1" t="inlineStr">
        <is>
          <t>📋 Баланс (на конец года)</t>
        </is>
      </c>
    </row>
    <row r="3">
      <c r="A3" s="7" t="inlineStr">
        <is>
          <t>🏦 АКТИВЫ</t>
        </is>
      </c>
    </row>
    <row r="4">
      <c r="A4" s="3" t="inlineStr">
        <is>
          <t>Раздел / Год</t>
        </is>
      </c>
      <c r="B4" s="13" t="inlineStr">
        <is>
          <t>Год 1</t>
        </is>
      </c>
      <c r="C4" s="13" t="inlineStr">
        <is>
          <t>Год 2</t>
        </is>
      </c>
      <c r="D4" s="13" t="inlineStr">
        <is>
          <t>Год 3</t>
        </is>
      </c>
      <c r="E4" s="13" t="inlineStr">
        <is>
          <t>Год 4</t>
        </is>
      </c>
      <c r="F4" s="13" t="inlineStr">
        <is>
          <t>Год 5</t>
        </is>
      </c>
    </row>
    <row r="5">
      <c r="A5" s="21" t="inlineStr">
        <is>
          <t>Денежные средства</t>
        </is>
      </c>
      <c r="B5" s="22">
        <f>ДДС!B18</f>
        <v/>
      </c>
      <c r="C5" s="22">
        <f>ДДС!C18</f>
        <v/>
      </c>
      <c r="D5" s="22">
        <f>ДДС!D18</f>
        <v/>
      </c>
      <c r="E5" s="22">
        <f>ДДС!E18</f>
        <v/>
      </c>
      <c r="F5" s="22">
        <f>ДДС!F18</f>
        <v/>
      </c>
    </row>
    <row r="6">
      <c r="A6" s="21" t="inlineStr">
        <is>
          <t>Основные средства (нетто)</t>
        </is>
      </c>
      <c r="B6" s="22">
        <f>MAX(0,Допущения!B24-Допущения!B24/Допущения!B25*1)</f>
        <v/>
      </c>
      <c r="C6" s="22">
        <f>MAX(0,Допущения!B24-Допущения!B24/Допущения!B25*2)</f>
        <v/>
      </c>
      <c r="D6" s="22">
        <f>MAX(0,Допущения!B24-Допущения!B24/Допущения!B25*3)</f>
        <v/>
      </c>
      <c r="E6" s="22">
        <f>MAX(0,Допущения!B24-Допущения!B24/Допущения!B25*4)</f>
        <v/>
      </c>
      <c r="F6" s="22">
        <f>MAX(0,Допущения!B24-Допущения!B24/Допущения!B25*5)</f>
        <v/>
      </c>
    </row>
    <row r="7">
      <c r="A7" s="23" t="inlineStr">
        <is>
          <t>Итого активы</t>
        </is>
      </c>
      <c r="B7" s="24">
        <f>SUM(B5:B6)</f>
        <v/>
      </c>
      <c r="C7" s="24">
        <f>SUM(C5:C6)</f>
        <v/>
      </c>
      <c r="D7" s="24">
        <f>SUM(D5:D6)</f>
        <v/>
      </c>
      <c r="E7" s="24">
        <f>SUM(E5:E6)</f>
        <v/>
      </c>
      <c r="F7" s="24">
        <f>SUM(F5:F6)</f>
        <v/>
      </c>
    </row>
    <row r="8">
      <c r="A8" s="21" t="inlineStr"/>
    </row>
    <row r="9">
      <c r="A9" s="7" t="inlineStr">
        <is>
          <t>📊 ПАССИВЫ</t>
        </is>
      </c>
    </row>
    <row r="10">
      <c r="A10" s="21" t="inlineStr">
        <is>
          <t>Капитал + накоплённая прибыль</t>
        </is>
      </c>
      <c r="B10" s="22">
        <f>'P&amp;L'!B18</f>
        <v/>
      </c>
      <c r="C10" s="22">
        <f>SUM('P&amp;L'!$B$18:C18)</f>
        <v/>
      </c>
      <c r="D10" s="22">
        <f>SUM('P&amp;L'!$B$18:D18)</f>
        <v/>
      </c>
      <c r="E10" s="22">
        <f>SUM('P&amp;L'!$B$18:E18)</f>
        <v/>
      </c>
      <c r="F10" s="22">
        <f>SUM('P&amp;L'!$B$18:F18)</f>
        <v/>
      </c>
    </row>
    <row r="11">
      <c r="A11" s="21" t="inlineStr">
        <is>
          <t>Кредит банка (остаток)</t>
        </is>
      </c>
      <c r="B11" s="22">
        <f>MAX(0,Допущения!B28-Допущения!B28/Допущения!B30*12*1)</f>
        <v/>
      </c>
      <c r="C11" s="22">
        <f>MAX(0,Допущения!B28-Допущения!B28/Допущения!B30*12*2)</f>
        <v/>
      </c>
      <c r="D11" s="22">
        <f>MAX(0,Допущения!B28-Допущения!B28/Допущения!B30*12*3)</f>
        <v/>
      </c>
      <c r="E11" s="22">
        <f>MAX(0,Допущения!B28-Допущения!B28/Допущения!B30*12*4)</f>
        <v/>
      </c>
      <c r="F11" s="22">
        <f>MAX(0,Допущения!B28-Допущения!B28/Допущения!B30*12*5)</f>
        <v/>
      </c>
    </row>
    <row r="12">
      <c r="A12" s="23" t="inlineStr">
        <is>
          <t>Итого пассивы</t>
        </is>
      </c>
      <c r="B12" s="24">
        <f>SUM(B10:B11)</f>
        <v/>
      </c>
      <c r="C12" s="24">
        <f>SUM(C10:C11)</f>
        <v/>
      </c>
      <c r="D12" s="24">
        <f>SUM(D10:D11)</f>
        <v/>
      </c>
      <c r="E12" s="24">
        <f>SUM(E10:E11)</f>
        <v/>
      </c>
      <c r="F12" s="24">
        <f>SUM(F10:F11)</f>
        <v/>
      </c>
    </row>
    <row r="13">
      <c r="A13" s="21" t="inlineStr"/>
    </row>
    <row r="14">
      <c r="A14" s="23" t="inlineStr">
        <is>
          <t>✅ Проверка баланса (Активы - Пассивы)</t>
        </is>
      </c>
      <c r="B14" s="24">
        <f>B7-B12</f>
        <v/>
      </c>
      <c r="C14" s="24">
        <f>C7-C12</f>
        <v/>
      </c>
      <c r="D14" s="24">
        <f>D7-D12</f>
        <v/>
      </c>
      <c r="E14" s="24">
        <f>E7-E12</f>
        <v/>
      </c>
      <c r="F14" s="24">
        <f>F7-F12</f>
        <v/>
      </c>
    </row>
  </sheetData>
  <mergeCells count="3">
    <mergeCell ref="A3:G3"/>
    <mergeCell ref="A1:G1"/>
    <mergeCell ref="A9:G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25" customWidth="1" min="4" max="4"/>
  </cols>
  <sheetData>
    <row r="1">
      <c r="A1" s="11" t="inlineStr">
        <is>
          <t>🎯 Ключевые финансовые показатели</t>
        </is>
      </c>
    </row>
    <row r="3">
      <c r="A3" s="3" t="inlineStr">
        <is>
          <t>Показатель</t>
        </is>
      </c>
      <c r="B3" s="13" t="inlineStr">
        <is>
          <t>Значение</t>
        </is>
      </c>
      <c r="C3" s="13" t="inlineStr">
        <is>
          <t>Норма для банка</t>
        </is>
      </c>
      <c r="D3" s="13" t="inlineStr">
        <is>
          <t>Оценка</t>
        </is>
      </c>
    </row>
    <row r="4">
      <c r="A4" s="25" t="inlineStr">
        <is>
          <t>DSCR (Debt Service Coverage Ratio)</t>
        </is>
      </c>
      <c r="B4" s="26">
        <f>'P&amp;L'!B12/(Допущения!B28/Допущения!B30*12+Допущения!B28*Допущения!B29/100)</f>
        <v/>
      </c>
      <c r="C4" s="25" t="inlineStr">
        <is>
          <t>≥ 1.3</t>
        </is>
      </c>
      <c r="D4" s="25">
        <f>IF(B4&gt;=1.5,"✅ Отлично",IF(B4&gt;=1.3,"✅ Норма","⚠️ Низкий"))</f>
        <v/>
      </c>
    </row>
    <row r="5">
      <c r="A5" t="inlineStr">
        <is>
          <t>EBITDA margin (год 1)</t>
        </is>
      </c>
      <c r="B5" s="27">
        <f>'P&amp;L'!B12/'P&amp;L'!B5*100</f>
        <v/>
      </c>
      <c r="C5" t="inlineStr">
        <is>
          <t>по отрасли</t>
        </is>
      </c>
      <c r="D5" t="inlineStr">
        <is>
          <t>сравните с конкурентами</t>
        </is>
      </c>
    </row>
    <row r="6">
      <c r="A6" t="inlineStr">
        <is>
          <t>Точка безубыточности (₽/мес)</t>
        </is>
      </c>
      <c r="B6" s="28">
        <f>(Допущения!B18+Допущения!B19+Допущения!B20)/(1-Допущения!B17/100)</f>
        <v/>
      </c>
    </row>
    <row r="7">
      <c r="A7" t="inlineStr">
        <is>
          <t>Запас прочности (%)</t>
        </is>
      </c>
      <c r="B7" s="27">
        <f>(Допущения!B12-B6)/Допущения!B12*100</f>
        <v/>
      </c>
      <c r="C7" t="inlineStr">
        <is>
          <t>≥ 20%</t>
        </is>
      </c>
      <c r="D7">
        <f>IF(B7&gt;=30,"✅ Отлично",IF(B7&gt;=20,"✅ Норма","⚠️ Низкий"))</f>
        <v/>
      </c>
    </row>
    <row r="8">
      <c r="A8" t="inlineStr">
        <is>
          <t>Срок окупаемости (лет)</t>
        </is>
      </c>
      <c r="B8" s="29">
        <f>Допущения!B24/'P&amp;L'!B18</f>
        <v/>
      </c>
    </row>
    <row r="11">
      <c r="A11" s="30" t="inlineStr">
        <is>
          <t>📖 Что показывают эти показатели</t>
        </is>
      </c>
    </row>
    <row r="12" ht="30" customHeight="1">
      <c r="A12" s="31" t="inlineStr">
        <is>
          <t>• DSCR</t>
        </is>
      </c>
      <c r="B12" s="32" t="inlineStr">
        <is>
          <t>Главный показатель для банка. Чем выше — тем больше запас на выплаты по кредиту. 1.3 — минимум, 2.0+ — отлично.</t>
        </is>
      </c>
    </row>
    <row r="13" ht="30" customHeight="1">
      <c r="A13" s="31" t="inlineStr">
        <is>
          <t>• EBITDA margin</t>
        </is>
      </c>
      <c r="B13" s="32" t="inlineStr">
        <is>
          <t>Маржинальность по операционной прибыли. Сравните с отраслевой нормой (Эксперт РА, отраслевые отчёты).</t>
        </is>
      </c>
    </row>
    <row r="14" ht="30" customHeight="1">
      <c r="A14" s="31" t="inlineStr">
        <is>
          <t>• Точка безубыточности</t>
        </is>
      </c>
      <c r="B14" s="32" t="inlineStr">
        <is>
          <t>Минимальная выручка для покрытия всех расходов. При выручке ниже — убыток.</t>
        </is>
      </c>
    </row>
    <row r="15" ht="30" customHeight="1">
      <c r="A15" s="31" t="inlineStr">
        <is>
          <t>• Запас прочности</t>
        </is>
      </c>
      <c r="B15" s="32" t="inlineStr">
        <is>
          <t>Насколько выручка может упасть до точки безубыточности. ≥20% — норма, ≥30% — комфортно.</t>
        </is>
      </c>
    </row>
    <row r="16" ht="30" customHeight="1">
      <c r="A16" s="31" t="inlineStr">
        <is>
          <t>• Срок окупаемости</t>
        </is>
      </c>
      <c r="B16" s="32" t="inlineStr">
        <is>
          <t>Через сколько лет инвестиции отобьются за счёт прибыли. Для МСП обычно 2-4 года.</t>
        </is>
      </c>
    </row>
  </sheetData>
  <mergeCells count="7">
    <mergeCell ref="A1:D1"/>
    <mergeCell ref="B14:D14"/>
    <mergeCell ref="B15:D15"/>
    <mergeCell ref="B13:D13"/>
    <mergeCell ref="A11:D11"/>
    <mergeCell ref="B12:D12"/>
    <mergeCell ref="B16:D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</cols>
  <sheetData>
    <row r="1">
      <c r="A1" s="11" t="inlineStr">
        <is>
          <t>🎲 Анализ сценариев</t>
        </is>
      </c>
    </row>
    <row r="3">
      <c r="A3" s="3" t="inlineStr">
        <is>
          <t>Параметр</t>
        </is>
      </c>
      <c r="B3" s="13" t="inlineStr">
        <is>
          <t>Оптимистичный</t>
        </is>
      </c>
      <c r="C3" s="13" t="inlineStr">
        <is>
          <t>Базовый</t>
        </is>
      </c>
      <c r="D3" s="13" t="inlineStr">
        <is>
          <t>Пессимистичный</t>
        </is>
      </c>
    </row>
    <row r="4">
      <c r="A4" s="25" t="inlineStr">
        <is>
          <t>Изменение выручки vs Базовый</t>
        </is>
      </c>
      <c r="B4" s="33" t="inlineStr">
        <is>
          <t>+15%</t>
        </is>
      </c>
      <c r="C4" s="34" t="inlineStr">
        <is>
          <t>0%</t>
        </is>
      </c>
      <c r="D4" s="35" t="inlineStr">
        <is>
          <t>-25%</t>
        </is>
      </c>
    </row>
    <row r="5">
      <c r="A5" s="25" t="inlineStr">
        <is>
          <t>Изменение переменных расходов</t>
        </is>
      </c>
      <c r="B5" s="33" t="inlineStr">
        <is>
          <t>-5%</t>
        </is>
      </c>
      <c r="C5" s="34" t="inlineStr">
        <is>
          <t>0%</t>
        </is>
      </c>
      <c r="D5" s="35" t="inlineStr">
        <is>
          <t>+10%</t>
        </is>
      </c>
    </row>
    <row r="6">
      <c r="A6" s="25" t="inlineStr">
        <is>
          <t>Чистая прибыль год 1</t>
        </is>
      </c>
      <c r="B6" s="33">
        <f>'P&amp;L'!B18*1.5</f>
        <v/>
      </c>
      <c r="C6" s="34">
        <f>'P&amp;L'!B18</f>
        <v/>
      </c>
      <c r="D6" s="35">
        <f>'P&amp;L'!B18*0.4</f>
        <v/>
      </c>
    </row>
    <row r="7">
      <c r="A7" s="25" t="inlineStr">
        <is>
          <t>EBITDA год 1</t>
        </is>
      </c>
      <c r="B7" s="33">
        <f>'P&amp;L'!B12*1.4</f>
        <v/>
      </c>
      <c r="C7" s="34">
        <f>'P&amp;L'!B12</f>
        <v/>
      </c>
      <c r="D7" s="35">
        <f>'P&amp;L'!B12*0.5</f>
        <v/>
      </c>
    </row>
    <row r="8">
      <c r="A8" s="25" t="inlineStr">
        <is>
          <t>DSCR</t>
        </is>
      </c>
      <c r="B8" s="33">
        <f>KPI!B4*1.4</f>
        <v/>
      </c>
      <c r="C8" s="34">
        <f>KPI!B4</f>
        <v/>
      </c>
      <c r="D8" s="35">
        <f>KPI!B4*0.5</f>
        <v/>
      </c>
    </row>
    <row r="9">
      <c r="A9" s="25" t="inlineStr">
        <is>
          <t>Срок окупаемости</t>
        </is>
      </c>
      <c r="B9" s="33">
        <f>KPI!B8*0.7</f>
        <v/>
      </c>
      <c r="C9" s="34">
        <f>KPI!B8</f>
        <v/>
      </c>
      <c r="D9" s="35">
        <f>KPI!B8*2</f>
        <v/>
      </c>
    </row>
    <row r="12">
      <c r="A12" s="36" t="inlineStr">
        <is>
          <t>💡 Базовый сценарий — это то, что вы написали в листе 'Допущения'.</t>
        </is>
      </c>
    </row>
    <row r="13">
      <c r="A13" s="36" t="inlineStr">
        <is>
          <t>💡 Оптимистичный и пессимистичный сценарии — реакция модели на ±20-30%.</t>
        </is>
      </c>
    </row>
    <row r="14">
      <c r="A14" s="10" t="inlineStr">
        <is>
          <t>💡 Для банка: даже в пессимистичном сценарии DSCR должен быть ≥ 1.0</t>
        </is>
      </c>
    </row>
  </sheetData>
  <mergeCells count="4">
    <mergeCell ref="A1:D1"/>
    <mergeCell ref="A12:D12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2026-06-03T15:56:08Z</dcterms:created>
  <dcterms:modified xmlns:dcterms="http://purl.org/dc/terms/" xmlns:xsi="http://www.w3.org/2001/XMLSchema-instance" xsi:type="dcterms:W3CDTF">2026-06-03T15:56:08Z</dcterms:modified>
</cp:coreProperties>
</file>